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vladimirbespalov/Desktop/"/>
    </mc:Choice>
  </mc:AlternateContent>
  <xr:revisionPtr revIDLastSave="0" documentId="8_{5677F2E0-DAFB-9440-8727-719423D7213C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Рассчё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B4" i="1"/>
  <c r="B3" i="1"/>
  <c r="M5" i="1"/>
  <c r="M6" i="1"/>
  <c r="M7" i="1"/>
  <c r="M8" i="1"/>
  <c r="M9" i="1"/>
  <c r="M10" i="1"/>
  <c r="M11" i="1"/>
  <c r="M4" i="1"/>
  <c r="E12" i="1"/>
  <c r="E7" i="1" l="1"/>
  <c r="E2" i="1"/>
  <c r="E3" i="1" s="1"/>
  <c r="E4" i="1" s="1"/>
  <c r="E5" i="1" s="1"/>
  <c r="E13" i="1" s="1"/>
</calcChain>
</file>

<file path=xl/sharedStrings.xml><?xml version="1.0" encoding="utf-8"?>
<sst xmlns="http://schemas.openxmlformats.org/spreadsheetml/2006/main" count="54" uniqueCount="48">
  <si>
    <t>ПАРАМЕТРЫ Громкоговорителя</t>
  </si>
  <si>
    <t>Звуковое давление громкоговорителя (SPL, дБ)</t>
  </si>
  <si>
    <t>Звуковое давление в расчетной точке (РТ) (SPL, дБ)</t>
  </si>
  <si>
    <t>Эффективная дальность звучания (м):</t>
  </si>
  <si>
    <t>ПАРАМЕТРЫ Помещения</t>
  </si>
  <si>
    <t>Количество громкоговорителей (шт)</t>
  </si>
  <si>
    <t>Площадь озвучиваемого помещения (м**2)</t>
  </si>
  <si>
    <t>Требования к расстановке</t>
  </si>
  <si>
    <t>Чувствительность громкоговорителя (SPL, дБ)</t>
  </si>
  <si>
    <t>Мощность громкоговорителя (P, Вт)</t>
  </si>
  <si>
    <t>Ширина диаграммы направленности на заданной частоте (ШДН, град)</t>
  </si>
  <si>
    <t>Уровень шума в помещении (УШ, дБ)</t>
  </si>
  <si>
    <t>Длина помещения (a, м), громкоговорители ставятся вдоль этой стены</t>
  </si>
  <si>
    <t>Ширина помещения (b, м)</t>
  </si>
  <si>
    <t>Высота установки громкоговорителей (H, м)</t>
  </si>
  <si>
    <t>Расстояние до расчетной точки (r, м)</t>
  </si>
  <si>
    <t>Запас звукового давления (ЗД, дБ)</t>
  </si>
  <si>
    <t xml:space="preserve"> Расчёт параметров громкоговорителя</t>
  </si>
  <si>
    <t>Рассчётная разность звукового давления в помещении.
P(расч)=Р(исх) - УШ - ЗД</t>
  </si>
  <si>
    <t>Площадь озвучиваемая громкоговорителем, м2</t>
  </si>
  <si>
    <t xml:space="preserve"> Расчёт для рассчётной точки</t>
  </si>
  <si>
    <t>Верхний предел звукового давления в любой точке (СП 3.13130.2009), дБА</t>
  </si>
  <si>
    <t>Рассчёт количества громкоговорителей по площади помещения</t>
  </si>
  <si>
    <t>Список и параметры громкоговорителей</t>
  </si>
  <si>
    <t>Тип громкоговорителя
(TYPE: 1 - потолочные, 2 - настенные, 3 - рупорные)</t>
  </si>
  <si>
    <t>МОДЕЛЬ</t>
  </si>
  <si>
    <t>SPL, дБ</t>
  </si>
  <si>
    <t>Ргр, Вт</t>
  </si>
  <si>
    <t>ШДН, гр.</t>
  </si>
  <si>
    <t>Рдб, дБ</t>
  </si>
  <si>
    <t>RPA-1</t>
  </si>
  <si>
    <t>2 - настенный</t>
  </si>
  <si>
    <t>RPA-6</t>
  </si>
  <si>
    <t>RPA-8</t>
  </si>
  <si>
    <t>RPA-8/2</t>
  </si>
  <si>
    <t>RPA-60</t>
  </si>
  <si>
    <t>RPW-20</t>
  </si>
  <si>
    <t>1 - потолочный</t>
  </si>
  <si>
    <t>RSH-15W</t>
  </si>
  <si>
    <t>RSH-30W</t>
  </si>
  <si>
    <t>3 - рупорный</t>
  </si>
  <si>
    <t>Громкоговоритель</t>
  </si>
  <si>
    <t>Тип (текст)</t>
  </si>
  <si>
    <t>Тип_число</t>
  </si>
  <si>
    <t>Ячейки для заполнения</t>
  </si>
  <si>
    <t>Ячейки в рассчётными значениями</t>
  </si>
  <si>
    <t>Легенда</t>
  </si>
  <si>
    <t>Автоматически заполняемы ячейки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</si>
</sst>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  <scheme val="minor"/>
    </font>
    <font>
      <sz val="10"/>
      <name val="Arial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5A6BD"/>
        <bgColor rgb="FFD5A6BD"/>
      </patternFill>
    </fill>
    <fill>
      <patternFill patternType="solid">
        <fgColor rgb="FFCFE2F3"/>
        <bgColor rgb="FFCFE2F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 applyProtection="1">
      <alignment horizontal="right" vertical="center" wrapText="1"/>
      <protection hidden="1"/>
    </xf>
    <xf numFmtId="0" fontId="3" fillId="5" borderId="3" xfId="0" applyFont="1" applyFill="1" applyBorder="1" applyAlignment="1" applyProtection="1">
      <alignment horizontal="right" vertical="center"/>
      <protection hidden="1"/>
    </xf>
    <xf numFmtId="2" fontId="3" fillId="5" borderId="3" xfId="0" applyNumberFormat="1" applyFont="1" applyFill="1" applyBorder="1" applyAlignment="1" applyProtection="1">
      <alignment horizontal="right" vertical="center"/>
      <protection hidden="1"/>
    </xf>
    <xf numFmtId="0" fontId="3" fillId="5" borderId="3" xfId="0" applyFont="1" applyFill="1" applyBorder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locked="0" hidden="1"/>
    </xf>
    <xf numFmtId="0" fontId="3" fillId="4" borderId="3" xfId="0" applyFont="1" applyFill="1" applyBorder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2" fillId="0" borderId="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</cellXfs>
  <cellStyles count="1">
    <cellStyle name="Обычный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minor"/>
      </font>
      <fill>
        <patternFill patternType="none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EBC5D1-F5AC-4355-892C-CFBEA1949626}" name="Таблица3" displayName="Таблица3" ref="G3:M11" totalsRowShown="0" headerRowDxfId="11" dataDxfId="9" headerRowBorderDxfId="10" tableBorderDxfId="8" totalsRowBorderDxfId="7">
  <autoFilter ref="G3:M11" xr:uid="{06EBC5D1-F5AC-4355-892C-CFBEA194962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B3A7ABD-42AA-4446-BCCB-87728A4CF70D}" name="МОДЕЛЬ" dataDxfId="6"/>
    <tableColumn id="2" xr3:uid="{661E2252-E0BC-43D8-9FED-BB4FF13297FC}" name="Тип (текст)" dataDxfId="5"/>
    <tableColumn id="7" xr3:uid="{9D5A7AB2-4167-49D2-AD8A-CA46DB265375}" name="Тип_число" dataDxfId="4"/>
    <tableColumn id="3" xr3:uid="{CD41AE85-13EE-4FD8-8385-389B4EDC394E}" name="SPL, дБ" dataDxfId="3"/>
    <tableColumn id="4" xr3:uid="{3DD10E3F-BA71-4141-8C99-56E42B62B7CB}" name="Ргр, Вт" dataDxfId="2"/>
    <tableColumn id="5" xr3:uid="{E5579F02-5AB5-4D39-86CD-0C42B3EFADD2}" name="ШДН, гр." dataDxfId="1"/>
    <tableColumn id="6" xr3:uid="{15BAD84B-1B71-4656-BD91-467F99ED9B0E}" name="Рдб, дБ" dataDxfId="0">
      <calculatedColumnFormula>ROUND(IFERROR(J4+10*LOG10(K4),""),2)</calculatedColumnFormula>
    </tableColumn>
  </tableColumns>
  <tableStyleInfo name="TableStyleMedium9" showFirstColumn="1" showLastColumn="0" showRowStripes="0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9"/>
  <sheetViews>
    <sheetView tabSelected="1" workbookViewId="0">
      <selection activeCell="B2" sqref="B2"/>
    </sheetView>
  </sheetViews>
  <sheetFormatPr baseColWidth="10" defaultColWidth="12.5" defaultRowHeight="15.75" customHeight="1" x14ac:dyDescent="0.15"/>
  <cols>
    <col min="1" max="1" width="54" customWidth="1"/>
    <col min="2" max="2" width="10.1640625" customWidth="1"/>
    <col min="3" max="3" width="5.1640625" customWidth="1"/>
    <col min="4" max="4" width="51" bestFit="1" customWidth="1"/>
    <col min="5" max="5" width="11.33203125" customWidth="1"/>
    <col min="6" max="6" width="6.5" customWidth="1"/>
    <col min="7" max="7" width="10.6640625" customWidth="1"/>
    <col min="8" max="8" width="20.83203125" bestFit="1" customWidth="1"/>
    <col min="9" max="9" width="9.83203125" bestFit="1" customWidth="1"/>
    <col min="10" max="10" width="12.1640625" bestFit="1" customWidth="1"/>
    <col min="11" max="11" width="11.5" bestFit="1" customWidth="1"/>
    <col min="12" max="12" width="13.1640625" bestFit="1" customWidth="1"/>
    <col min="13" max="13" width="11.6640625" bestFit="1" customWidth="1"/>
    <col min="22" max="22" width="44.5" customWidth="1"/>
  </cols>
  <sheetData>
    <row r="1" spans="1:13" ht="13" x14ac:dyDescent="0.15">
      <c r="A1" s="33" t="s">
        <v>0</v>
      </c>
      <c r="B1" s="34"/>
      <c r="C1" s="1"/>
      <c r="D1" s="35" t="s">
        <v>17</v>
      </c>
      <c r="E1" s="36"/>
      <c r="F1" s="1"/>
      <c r="G1" s="1"/>
      <c r="H1" s="1"/>
      <c r="I1" s="1"/>
      <c r="J1" s="1"/>
      <c r="K1" s="1"/>
    </row>
    <row r="2" spans="1:13" ht="14" x14ac:dyDescent="0.15">
      <c r="A2" s="23" t="s">
        <v>41</v>
      </c>
      <c r="B2" s="29" t="s">
        <v>34</v>
      </c>
      <c r="C2" s="1"/>
      <c r="D2" s="5" t="s">
        <v>1</v>
      </c>
      <c r="E2" s="26">
        <f>ROUND(IFERROR(B3+10*LOG10(B4),""),2)</f>
        <v>102.77</v>
      </c>
      <c r="G2" s="7" t="s">
        <v>23</v>
      </c>
      <c r="H2" s="2"/>
      <c r="I2" s="2"/>
    </row>
    <row r="3" spans="1:13" ht="28" x14ac:dyDescent="0.15">
      <c r="A3" s="4" t="s">
        <v>8</v>
      </c>
      <c r="B3" s="25">
        <f>VLOOKUP($B$2,Таблица3[#All],4,FALSE)</f>
        <v>88</v>
      </c>
      <c r="C3" s="1"/>
      <c r="D3" s="5" t="s">
        <v>18</v>
      </c>
      <c r="E3" s="26">
        <f>E2-B8-B14</f>
        <v>67.77</v>
      </c>
      <c r="G3" s="8" t="s">
        <v>25</v>
      </c>
      <c r="H3" s="9" t="s">
        <v>42</v>
      </c>
      <c r="I3" s="9" t="s">
        <v>43</v>
      </c>
      <c r="J3" s="10" t="s">
        <v>26</v>
      </c>
      <c r="K3" s="10" t="s">
        <v>27</v>
      </c>
      <c r="L3" s="10" t="s">
        <v>28</v>
      </c>
      <c r="M3" s="11" t="s">
        <v>29</v>
      </c>
    </row>
    <row r="4" spans="1:13" ht="14" x14ac:dyDescent="0.15">
      <c r="A4" s="4" t="s">
        <v>9</v>
      </c>
      <c r="B4" s="25">
        <f>VLOOKUP($B$2,Таблица3[#All],5,FALSE)</f>
        <v>30</v>
      </c>
      <c r="C4" s="1"/>
      <c r="D4" s="5" t="s">
        <v>3</v>
      </c>
      <c r="E4" s="27">
        <f>POWER(10,(E3/20)) +1</f>
        <v>2447.2452760512774</v>
      </c>
      <c r="G4" s="12" t="s">
        <v>30</v>
      </c>
      <c r="H4" s="14" t="s">
        <v>31</v>
      </c>
      <c r="I4" s="14">
        <v>2</v>
      </c>
      <c r="J4" s="15">
        <v>90</v>
      </c>
      <c r="K4" s="15">
        <v>6</v>
      </c>
      <c r="L4" s="15">
        <v>60</v>
      </c>
      <c r="M4" s="16">
        <f>ROUND(IFERROR(J4+10*LOG10(K4),""),2)</f>
        <v>97.78</v>
      </c>
    </row>
    <row r="5" spans="1:13" ht="28" x14ac:dyDescent="0.15">
      <c r="A5" s="4" t="s">
        <v>10</v>
      </c>
      <c r="B5" s="25">
        <f>VLOOKUP($B$2,Таблица3[#All],6,FALSE)</f>
        <v>70</v>
      </c>
      <c r="C5" s="1"/>
      <c r="D5" s="5" t="s">
        <v>19</v>
      </c>
      <c r="E5" s="26">
        <f>ROUNDUP(IF($B$6=1,3.14*POWER((B12-1.5)*TAN(B5*3.14/360),2),IF($B$6=2,3.14*POWER(E4,2)*B5/360,IF($B$6=3,3.14*(E4/2)*(E4/2)*TAN(B5*3.14/360),0))),0)</f>
        <v>3656623</v>
      </c>
      <c r="G5" s="12" t="s">
        <v>32</v>
      </c>
      <c r="H5" s="14" t="s">
        <v>31</v>
      </c>
      <c r="I5" s="14">
        <v>2</v>
      </c>
      <c r="J5" s="15">
        <v>92</v>
      </c>
      <c r="K5" s="15">
        <v>15</v>
      </c>
      <c r="L5" s="15">
        <v>360</v>
      </c>
      <c r="M5" s="16">
        <f t="shared" ref="M5:M11" si="0">ROUND(IFERROR(J5+10*LOG10(K5),""),2)</f>
        <v>103.76</v>
      </c>
    </row>
    <row r="6" spans="1:13" ht="28" x14ac:dyDescent="0.15">
      <c r="A6" s="5" t="s">
        <v>24</v>
      </c>
      <c r="B6" s="25">
        <f>VLOOKUP($B$2,Таблица3[#All],3,FALSE)</f>
        <v>2</v>
      </c>
      <c r="C6" s="1"/>
      <c r="D6" s="31" t="s">
        <v>20</v>
      </c>
      <c r="E6" s="32"/>
      <c r="G6" s="12" t="s">
        <v>33</v>
      </c>
      <c r="H6" s="14" t="s">
        <v>31</v>
      </c>
      <c r="I6" s="14">
        <v>2</v>
      </c>
      <c r="J6" s="15">
        <v>90</v>
      </c>
      <c r="K6" s="15">
        <v>15</v>
      </c>
      <c r="L6" s="15">
        <v>100</v>
      </c>
      <c r="M6" s="16">
        <f t="shared" si="0"/>
        <v>101.76</v>
      </c>
    </row>
    <row r="7" spans="1:13" ht="14" x14ac:dyDescent="0.15">
      <c r="A7" s="37" t="s">
        <v>4</v>
      </c>
      <c r="B7" s="38"/>
      <c r="C7" s="1"/>
      <c r="D7" s="5" t="s">
        <v>2</v>
      </c>
      <c r="E7" s="26">
        <f>ROUND(IFERROR(B3+10*LOG10(B4)-20*LOG10(B13),""),2)</f>
        <v>76.75</v>
      </c>
      <c r="G7" s="12" t="s">
        <v>34</v>
      </c>
      <c r="H7" s="14" t="s">
        <v>31</v>
      </c>
      <c r="I7" s="14">
        <v>2</v>
      </c>
      <c r="J7" s="15">
        <v>88</v>
      </c>
      <c r="K7" s="15">
        <v>30</v>
      </c>
      <c r="L7" s="15">
        <v>70</v>
      </c>
      <c r="M7" s="16">
        <f t="shared" si="0"/>
        <v>102.77</v>
      </c>
    </row>
    <row r="8" spans="1:13" ht="28" x14ac:dyDescent="0.15">
      <c r="A8" s="5" t="s">
        <v>11</v>
      </c>
      <c r="B8" s="30">
        <v>20</v>
      </c>
      <c r="C8" s="1"/>
      <c r="D8" s="5" t="s">
        <v>21</v>
      </c>
      <c r="E8" s="28">
        <v>120</v>
      </c>
      <c r="G8" s="12" t="s">
        <v>35</v>
      </c>
      <c r="H8" s="14" t="s">
        <v>31</v>
      </c>
      <c r="I8" s="14">
        <v>2</v>
      </c>
      <c r="J8" s="15">
        <v>91</v>
      </c>
      <c r="K8" s="15">
        <v>40</v>
      </c>
      <c r="L8" s="15">
        <v>70</v>
      </c>
      <c r="M8" s="16">
        <f t="shared" si="0"/>
        <v>107.02</v>
      </c>
    </row>
    <row r="9" spans="1:13" ht="28" x14ac:dyDescent="0.15">
      <c r="A9" s="5" t="s">
        <v>12</v>
      </c>
      <c r="B9" s="30">
        <v>20</v>
      </c>
      <c r="C9" s="1"/>
      <c r="D9" s="6"/>
      <c r="E9" s="6"/>
      <c r="G9" s="12" t="s">
        <v>36</v>
      </c>
      <c r="H9" s="14" t="s">
        <v>37</v>
      </c>
      <c r="I9" s="14">
        <v>1</v>
      </c>
      <c r="J9" s="15">
        <v>96</v>
      </c>
      <c r="K9" s="15">
        <v>15</v>
      </c>
      <c r="L9" s="15">
        <v>90</v>
      </c>
      <c r="M9" s="16">
        <f t="shared" si="0"/>
        <v>107.76</v>
      </c>
    </row>
    <row r="10" spans="1:13" ht="14" x14ac:dyDescent="0.15">
      <c r="A10" s="5" t="s">
        <v>13</v>
      </c>
      <c r="B10" s="30">
        <v>30</v>
      </c>
      <c r="C10" s="1"/>
      <c r="D10" s="6"/>
      <c r="E10" s="6"/>
      <c r="G10" s="12" t="s">
        <v>38</v>
      </c>
      <c r="H10" s="14" t="s">
        <v>40</v>
      </c>
      <c r="I10" s="14">
        <v>3</v>
      </c>
      <c r="J10" s="15">
        <v>101</v>
      </c>
      <c r="K10" s="15">
        <v>15</v>
      </c>
      <c r="L10" s="15">
        <v>50</v>
      </c>
      <c r="M10" s="16">
        <f t="shared" si="0"/>
        <v>112.76</v>
      </c>
    </row>
    <row r="11" spans="1:13" ht="13" x14ac:dyDescent="0.15">
      <c r="A11" s="37" t="s">
        <v>7</v>
      </c>
      <c r="B11" s="38"/>
      <c r="C11" s="1"/>
      <c r="D11" s="31" t="s">
        <v>22</v>
      </c>
      <c r="E11" s="32"/>
      <c r="G11" s="13" t="s">
        <v>39</v>
      </c>
      <c r="H11" s="17" t="s">
        <v>40</v>
      </c>
      <c r="I11" s="17">
        <v>3</v>
      </c>
      <c r="J11" s="18">
        <v>103</v>
      </c>
      <c r="K11" s="18">
        <v>30</v>
      </c>
      <c r="L11" s="18">
        <v>40</v>
      </c>
      <c r="M11" s="19">
        <f t="shared" si="0"/>
        <v>117.77</v>
      </c>
    </row>
    <row r="12" spans="1:13" ht="14" x14ac:dyDescent="0.15">
      <c r="A12" s="5" t="s">
        <v>14</v>
      </c>
      <c r="B12" s="30">
        <v>10</v>
      </c>
      <c r="C12" s="1"/>
      <c r="D12" s="3" t="s">
        <v>6</v>
      </c>
      <c r="E12" s="28">
        <f>B10*B9</f>
        <v>600</v>
      </c>
      <c r="K12" s="1"/>
    </row>
    <row r="13" spans="1:13" ht="14" x14ac:dyDescent="0.15">
      <c r="A13" s="5" t="s">
        <v>15</v>
      </c>
      <c r="B13" s="30">
        <v>20</v>
      </c>
      <c r="C13" s="1"/>
      <c r="D13" s="3" t="s">
        <v>5</v>
      </c>
      <c r="E13" s="28">
        <f>IF(E5&gt;0,ROUNDUP((E12/E5),0),0)</f>
        <v>1</v>
      </c>
      <c r="G13" s="1"/>
      <c r="H13" s="1"/>
      <c r="I13" s="1"/>
      <c r="K13" s="1"/>
    </row>
    <row r="14" spans="1:13" ht="14" x14ac:dyDescent="0.15">
      <c r="A14" s="5" t="s">
        <v>16</v>
      </c>
      <c r="B14" s="30">
        <v>15</v>
      </c>
      <c r="C14" s="1"/>
      <c r="D14" s="1"/>
      <c r="E14" s="1"/>
      <c r="G14" s="1"/>
      <c r="H14" s="1"/>
      <c r="I14" s="1"/>
      <c r="K14" s="1"/>
    </row>
    <row r="15" spans="1:13" ht="15.75" customHeight="1" x14ac:dyDescent="0.15">
      <c r="A15" s="1"/>
      <c r="B15" s="1"/>
    </row>
    <row r="16" spans="1:13" ht="15.75" customHeight="1" x14ac:dyDescent="0.15">
      <c r="A16" s="22" t="s">
        <v>46</v>
      </c>
      <c r="B16" s="1"/>
    </row>
    <row r="17" spans="1:1" ht="15.75" customHeight="1" x14ac:dyDescent="0.15">
      <c r="A17" s="20" t="s">
        <v>44</v>
      </c>
    </row>
    <row r="18" spans="1:1" ht="15.75" customHeight="1" x14ac:dyDescent="0.15">
      <c r="A18" s="21" t="s">
        <v>45</v>
      </c>
    </row>
    <row r="19" spans="1:1" ht="15.75" customHeight="1" x14ac:dyDescent="0.15">
      <c r="A19" s="24" t="s">
        <v>47</v>
      </c>
    </row>
  </sheetData>
  <sheetProtection algorithmName="SHA-512" hashValue="jhxpU6A55DC86K13aXz1+r3yjthvxXevPYa7r+iDOSKaG3kBc0hoBzeSRDCkVmuTZu6ju68pkzQbthgIhjcvaQ==" saltValue="P7UHLbaBHO9bk78qacp2FA==" spinCount="100000" sheet="1" objects="1" scenarios="1" formatCells="0" formatColumns="0" formatRows="0" insertColumns="0" insertRows="0" insertHyperlinks="0" deleteColumns="0" deleteRows="0"/>
  <mergeCells count="6">
    <mergeCell ref="D11:E11"/>
    <mergeCell ref="A1:B1"/>
    <mergeCell ref="D1:E1"/>
    <mergeCell ref="A7:B7"/>
    <mergeCell ref="A11:B11"/>
    <mergeCell ref="D6:E6"/>
  </mergeCells>
  <phoneticPr fontId="7" type="noConversion"/>
  <dataValidations count="1">
    <dataValidation type="list" allowBlank="1" showInputMessage="1" showErrorMessage="1" sqref="B2" xr:uid="{316D000A-4596-4C6B-B0A6-A4D188AECBF7}">
      <formula1>$G$4:$G$11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Рассчёт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Microsoft Office User</cp:lastModifiedBy>
  <dcterms:created xsi:type="dcterms:W3CDTF">2025-07-02T11:59:03Z</dcterms:created>
  <dcterms:modified xsi:type="dcterms:W3CDTF">2025-07-07T12:48:58Z</dcterms:modified>
</cp:coreProperties>
</file>